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20" windowHeight="11595"/>
  </bookViews>
  <sheets>
    <sheet name="電協研P257計算例(1)" sheetId="14" r:id="rId1"/>
    <sheet name="電協研P257計算例(2)" sheetId="15" r:id="rId2"/>
  </sheets>
  <definedNames>
    <definedName name="_xlnm.Print_Area" localSheetId="1">'電協研P257計算例(2)'!$A$1:$I$41</definedName>
  </definedNames>
  <calcPr calcId="152511"/>
</workbook>
</file>

<file path=xl/calcChain.xml><?xml version="1.0" encoding="utf-8"?>
<calcChain xmlns="http://schemas.openxmlformats.org/spreadsheetml/2006/main">
  <c r="P4" i="15" l="1"/>
  <c r="O4" i="15"/>
  <c r="N4" i="15"/>
  <c r="F38" i="14"/>
  <c r="F37" i="14"/>
  <c r="E53" i="14"/>
  <c r="E52" i="14"/>
  <c r="I15" i="14"/>
  <c r="K20" i="14"/>
  <c r="I16" i="14" s="1"/>
  <c r="G58" i="14" s="1"/>
  <c r="I14" i="14"/>
  <c r="G56" i="14" l="1"/>
  <c r="G57" i="14"/>
  <c r="E57" i="14"/>
  <c r="D57" i="14"/>
  <c r="E56" i="14"/>
  <c r="C56" i="14"/>
  <c r="I56" i="14" s="1" a="1"/>
  <c r="J58" i="14" l="1"/>
  <c r="I57" i="14"/>
  <c r="I58" i="14"/>
  <c r="K56" i="14"/>
  <c r="K57" i="14"/>
  <c r="J56" i="14"/>
  <c r="K58" i="14"/>
  <c r="J57" i="14"/>
  <c r="I56" i="14"/>
  <c r="M56" i="14" l="1" a="1"/>
  <c r="M57" i="14" l="1"/>
  <c r="D62" i="14" s="1"/>
  <c r="M56" i="14"/>
  <c r="D61" i="14" s="1"/>
  <c r="M58" i="14"/>
  <c r="D63" i="14" s="1"/>
  <c r="F33" i="14" l="1"/>
  <c r="L6" i="15" s="1"/>
  <c r="F32" i="14"/>
  <c r="L5" i="15" s="1"/>
  <c r="F31" i="14"/>
  <c r="L4" i="15" s="1"/>
  <c r="F30" i="14"/>
  <c r="L3" i="15" s="1"/>
  <c r="F35" i="14"/>
  <c r="L8" i="15" s="1"/>
  <c r="F34" i="14"/>
  <c r="L7" i="15" s="1"/>
  <c r="F8" i="15" l="1"/>
  <c r="F7" i="15"/>
  <c r="C14" i="15"/>
  <c r="C13" i="15"/>
  <c r="C4" i="15"/>
  <c r="C5" i="15"/>
</calcChain>
</file>

<file path=xl/sharedStrings.xml><?xml version="1.0" encoding="utf-8"?>
<sst xmlns="http://schemas.openxmlformats.org/spreadsheetml/2006/main" count="112" uniqueCount="78">
  <si>
    <t>平衡方程式</t>
    <rPh sb="0" eb="2">
      <t>ヘイコウ</t>
    </rPh>
    <rPh sb="2" eb="5">
      <t>ホウテイシキ</t>
    </rPh>
    <phoneticPr fontId="1"/>
  </si>
  <si>
    <t>I1</t>
    <phoneticPr fontId="1"/>
  </si>
  <si>
    <t>I2</t>
    <phoneticPr fontId="1"/>
  </si>
  <si>
    <t>K2 = I2 / L</t>
    <phoneticPr fontId="1"/>
  </si>
  <si>
    <t>K1 = I1 / h1</t>
    <phoneticPr fontId="1"/>
  </si>
  <si>
    <t>α = K1 / K2</t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</si>
  <si>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AB</t>
    </r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</si>
  <si>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BA</t>
    </r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</si>
  <si>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BC</t>
    </r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</si>
  <si>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CB</t>
    </r>
    <phoneticPr fontId="1"/>
  </si>
  <si>
    <r>
      <t>= (φ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+ 2φ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>) + C</t>
    </r>
    <r>
      <rPr>
        <vertAlign val="subscript"/>
        <sz val="11"/>
        <color theme="1"/>
        <rFont val="ＭＳ Ｐゴシック"/>
        <family val="3"/>
        <charset val="128"/>
        <scheme val="minor"/>
      </rPr>
      <t>CB</t>
    </r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</si>
  <si>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CD</t>
    </r>
    <phoneticPr fontId="1"/>
  </si>
  <si>
    <r>
      <t>M</t>
    </r>
    <r>
      <rPr>
        <vertAlign val="subscript"/>
        <sz val="11"/>
        <color theme="1"/>
        <rFont val="ＭＳ Ｐゴシック"/>
        <family val="3"/>
        <charset val="128"/>
        <scheme val="minor"/>
      </rPr>
      <t>DC</t>
    </r>
    <phoneticPr fontId="1"/>
  </si>
  <si>
    <r>
      <t>C</t>
    </r>
    <r>
      <rPr>
        <vertAlign val="subscript"/>
        <sz val="11"/>
        <color theme="1"/>
        <rFont val="ＭＳ Ｐゴシック"/>
        <family val="3"/>
        <charset val="128"/>
        <scheme val="minor"/>
      </rPr>
      <t>BC</t>
    </r>
    <phoneticPr fontId="1"/>
  </si>
  <si>
    <r>
      <t>C</t>
    </r>
    <r>
      <rPr>
        <vertAlign val="subscript"/>
        <sz val="11"/>
        <color theme="1"/>
        <rFont val="ＭＳ Ｐゴシック"/>
        <family val="3"/>
        <charset val="128"/>
        <scheme val="minor"/>
      </rPr>
      <t>CB</t>
    </r>
    <phoneticPr fontId="1"/>
  </si>
  <si>
    <r>
      <t>= ω・L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 xml:space="preserve"> / 12</t>
    </r>
    <phoneticPr fontId="1"/>
  </si>
  <si>
    <t>No.</t>
    <phoneticPr fontId="1"/>
  </si>
  <si>
    <t>ψ</t>
    <phoneticPr fontId="1"/>
  </si>
  <si>
    <t>荷重項</t>
    <rPh sb="0" eb="3">
      <t>カジュウコウ</t>
    </rPh>
    <phoneticPr fontId="1"/>
  </si>
  <si>
    <t>2(1 + α)</t>
    <phoneticPr fontId="1"/>
  </si>
  <si>
    <t>-3α</t>
    <phoneticPr fontId="1"/>
  </si>
  <si>
    <r>
      <t>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phoneticPr fontId="1"/>
  </si>
  <si>
    <r>
      <t>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phoneticPr fontId="1"/>
  </si>
  <si>
    <r>
      <t xml:space="preserve"> この連立方程式を解いてφ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>、φ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>、ψを求める</t>
    </r>
    <rPh sb="3" eb="8">
      <t>レンリツホウテイシキ</t>
    </rPh>
    <rPh sb="9" eb="10">
      <t>ト</t>
    </rPh>
    <rPh sb="20" eb="21">
      <t>モト</t>
    </rPh>
    <phoneticPr fontId="1"/>
  </si>
  <si>
    <t>ω</t>
    <phoneticPr fontId="1"/>
  </si>
  <si>
    <t>m</t>
    <phoneticPr fontId="1"/>
  </si>
  <si>
    <t>L</t>
    <phoneticPr fontId="1"/>
  </si>
  <si>
    <t>杭断面2次モーメント</t>
    <rPh sb="0" eb="1">
      <t>クイ</t>
    </rPh>
    <rPh sb="1" eb="5">
      <t>ダンメンニジ</t>
    </rPh>
    <phoneticPr fontId="1"/>
  </si>
  <si>
    <t>梁断面2次モーメント</t>
    <rPh sb="0" eb="1">
      <t>ハリ</t>
    </rPh>
    <rPh sb="1" eb="5">
      <t>ダンメンニジ</t>
    </rPh>
    <phoneticPr fontId="1"/>
  </si>
  <si>
    <r>
      <rPr>
        <sz val="11"/>
        <color theme="1"/>
        <rFont val="ＭＳ Ｐゴシック"/>
        <family val="2"/>
        <scheme val="minor"/>
      </rP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4</t>
    </r>
    <phoneticPr fontId="1"/>
  </si>
  <si>
    <t>K1</t>
    <phoneticPr fontId="1"/>
  </si>
  <si>
    <t>K2</t>
    <phoneticPr fontId="1"/>
  </si>
  <si>
    <t>α</t>
    <phoneticPr fontId="1"/>
  </si>
  <si>
    <t>逆行列</t>
    <rPh sb="0" eb="3">
      <t>ギャクギョウレツ</t>
    </rPh>
    <phoneticPr fontId="1"/>
  </si>
  <si>
    <t>反力の計算</t>
    <rPh sb="0" eb="2">
      <t>ハンリョク</t>
    </rPh>
    <rPh sb="3" eb="5">
      <t>ケイサン</t>
    </rPh>
    <phoneticPr fontId="1"/>
  </si>
  <si>
    <t>VA, VD</t>
    <phoneticPr fontId="1"/>
  </si>
  <si>
    <r>
      <t>= ω・L / 2 ± (M</t>
    </r>
    <r>
      <rPr>
        <vertAlign val="subscript"/>
        <sz val="11"/>
        <color theme="1"/>
        <rFont val="ＭＳ Ｐゴシック"/>
        <family val="3"/>
        <charset val="128"/>
        <scheme val="minor"/>
      </rPr>
      <t>BC</t>
    </r>
    <r>
      <rPr>
        <sz val="11"/>
        <color theme="1"/>
        <rFont val="ＭＳ Ｐゴシック"/>
        <family val="2"/>
        <scheme val="minor"/>
      </rPr>
      <t xml:space="preserve"> + M</t>
    </r>
    <r>
      <rPr>
        <vertAlign val="subscript"/>
        <sz val="11"/>
        <color theme="1"/>
        <rFont val="ＭＳ Ｐゴシック"/>
        <family val="3"/>
        <charset val="128"/>
        <scheme val="minor"/>
      </rPr>
      <t>CB</t>
    </r>
    <r>
      <rPr>
        <sz val="11"/>
        <color theme="1"/>
        <rFont val="ＭＳ Ｐゴシック"/>
        <family val="2"/>
        <scheme val="minor"/>
      </rPr>
      <t>) / L</t>
    </r>
    <phoneticPr fontId="1"/>
  </si>
  <si>
    <t>VA</t>
    <phoneticPr fontId="1"/>
  </si>
  <si>
    <t>VD</t>
    <phoneticPr fontId="1"/>
  </si>
  <si>
    <t>HA</t>
    <phoneticPr fontId="1"/>
  </si>
  <si>
    <t>HD</t>
    <phoneticPr fontId="1"/>
  </si>
  <si>
    <t>安定計算で使用する反力</t>
    <rPh sb="0" eb="4">
      <t>アンテイケイサン</t>
    </rPh>
    <rPh sb="5" eb="7">
      <t>シヨウ</t>
    </rPh>
    <rPh sb="9" eb="11">
      <t>ハンリョク</t>
    </rPh>
    <phoneticPr fontId="1"/>
  </si>
  <si>
    <t>VA', VD'</t>
    <phoneticPr fontId="1"/>
  </si>
  <si>
    <t>VD'</t>
    <phoneticPr fontId="1"/>
  </si>
  <si>
    <t>VA'</t>
    <phoneticPr fontId="1"/>
  </si>
  <si>
    <r>
      <t>= ± (M</t>
    </r>
    <r>
      <rPr>
        <vertAlign val="subscript"/>
        <sz val="11"/>
        <color theme="1"/>
        <rFont val="ＭＳ Ｐゴシック"/>
        <family val="3"/>
        <charset val="128"/>
        <scheme val="minor"/>
      </rPr>
      <t>BC</t>
    </r>
    <r>
      <rPr>
        <sz val="11"/>
        <color theme="1"/>
        <rFont val="ＭＳ Ｐゴシック"/>
        <family val="2"/>
        <scheme val="minor"/>
      </rPr>
      <t xml:space="preserve"> + M</t>
    </r>
    <r>
      <rPr>
        <vertAlign val="subscript"/>
        <sz val="11"/>
        <color theme="1"/>
        <rFont val="ＭＳ Ｐゴシック"/>
        <family val="3"/>
        <charset val="128"/>
        <scheme val="minor"/>
      </rPr>
      <t>CB</t>
    </r>
    <r>
      <rPr>
        <sz val="11"/>
        <color theme="1"/>
        <rFont val="ＭＳ Ｐゴシック"/>
        <family val="2"/>
        <scheme val="minor"/>
      </rPr>
      <t>) / L</t>
    </r>
    <phoneticPr fontId="1"/>
  </si>
  <si>
    <t>E1</t>
    <phoneticPr fontId="1"/>
  </si>
  <si>
    <t>E2</t>
    <phoneticPr fontId="1"/>
  </si>
  <si>
    <t>E1/E2</t>
    <phoneticPr fontId="1"/>
  </si>
  <si>
    <r>
      <t>C</t>
    </r>
    <r>
      <rPr>
        <vertAlign val="subscript"/>
        <sz val="11"/>
        <color theme="1"/>
        <rFont val="ＭＳ Ｐゴシック"/>
        <family val="3"/>
        <charset val="128"/>
        <scheme val="minor"/>
      </rPr>
      <t>BC</t>
    </r>
    <r>
      <rPr>
        <sz val="11"/>
        <color theme="1"/>
        <rFont val="ＭＳ Ｐゴシック"/>
        <family val="2"/>
        <scheme val="minor"/>
      </rPr>
      <t xml:space="preserve"> + C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phoneticPr fontId="1"/>
  </si>
  <si>
    <r>
      <t>-C</t>
    </r>
    <r>
      <rPr>
        <vertAlign val="subscript"/>
        <sz val="11"/>
        <color theme="1"/>
        <rFont val="ＭＳ Ｐゴシック"/>
        <family val="3"/>
        <charset val="128"/>
        <scheme val="minor"/>
      </rPr>
      <t>CB</t>
    </r>
    <r>
      <rPr>
        <sz val="11"/>
        <color theme="1"/>
        <rFont val="ＭＳ Ｐゴシック"/>
        <family val="2"/>
        <scheme val="minor"/>
      </rPr>
      <t xml:space="preserve"> </t>
    </r>
    <r>
      <rPr>
        <sz val="11"/>
        <color theme="1"/>
        <rFont val="ＭＳ Ｐゴシック"/>
        <family val="2"/>
        <scheme val="minor"/>
      </rPr>
      <t>+ C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phoneticPr fontId="1"/>
  </si>
  <si>
    <r>
      <t>= α(φ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- 3ψ)</t>
    </r>
    <phoneticPr fontId="1"/>
  </si>
  <si>
    <r>
      <t>= α(2φ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- 3ψ)</t>
    </r>
    <phoneticPr fontId="1"/>
  </si>
  <si>
    <r>
      <t>= (2φ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+ 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>) - C</t>
    </r>
    <r>
      <rPr>
        <vertAlign val="subscript"/>
        <sz val="11"/>
        <color theme="1"/>
        <rFont val="ＭＳ Ｐゴシック"/>
        <family val="3"/>
        <charset val="128"/>
        <scheme val="minor"/>
      </rPr>
      <t>BC</t>
    </r>
    <phoneticPr fontId="1"/>
  </si>
  <si>
    <r>
      <t>2(1 + α)φ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+ 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 xml:space="preserve"> - 3αψ = </t>
    </r>
    <r>
      <rPr>
        <sz val="11"/>
        <color theme="1"/>
        <rFont val="ＭＳ Ｐゴシック"/>
        <family val="2"/>
        <scheme val="minor"/>
      </rPr>
      <t>C</t>
    </r>
    <r>
      <rPr>
        <vertAlign val="subscript"/>
        <sz val="11"/>
        <color theme="1"/>
        <rFont val="ＭＳ Ｐゴシック"/>
        <family val="3"/>
        <charset val="128"/>
        <scheme val="minor"/>
      </rPr>
      <t>BC</t>
    </r>
    <r>
      <rPr>
        <sz val="11"/>
        <color theme="1"/>
        <rFont val="ＭＳ Ｐゴシック"/>
        <family val="2"/>
        <scheme val="minor"/>
      </rPr>
      <t xml:space="preserve"> + C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phoneticPr fontId="1"/>
  </si>
  <si>
    <r>
      <t>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+ 2(1 + α)φ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 xml:space="preserve"> - 3αψ = -C</t>
    </r>
    <r>
      <rPr>
        <vertAlign val="subscript"/>
        <sz val="11"/>
        <color theme="1"/>
        <rFont val="ＭＳ Ｐゴシック"/>
        <family val="3"/>
        <charset val="128"/>
        <scheme val="minor"/>
      </rPr>
      <t>CB</t>
    </r>
    <r>
      <rPr>
        <sz val="11"/>
        <color theme="1"/>
        <rFont val="ＭＳ Ｐゴシック"/>
        <family val="2"/>
        <scheme val="minor"/>
      </rPr>
      <t xml:space="preserve"> </t>
    </r>
    <r>
      <rPr>
        <sz val="11"/>
        <color theme="1"/>
        <rFont val="ＭＳ Ｐゴシック"/>
        <family val="2"/>
        <scheme val="minor"/>
      </rPr>
      <t>+ C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phoneticPr fontId="1"/>
  </si>
  <si>
    <r>
      <t>= α(2φ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 xml:space="preserve"> - 3ψ)</t>
    </r>
    <phoneticPr fontId="1"/>
  </si>
  <si>
    <r>
      <t>= α(φ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 xml:space="preserve"> - 3ψ)</t>
    </r>
    <phoneticPr fontId="1"/>
  </si>
  <si>
    <r>
      <t xml:space="preserve">-A </t>
    </r>
    <r>
      <rPr>
        <sz val="11"/>
        <color theme="1"/>
        <rFont val="ＭＳ Ｐゴシック"/>
        <family val="2"/>
        <scheme val="minor"/>
      </rPr>
      <t>/ (3・α)</t>
    </r>
    <phoneticPr fontId="1"/>
  </si>
  <si>
    <r>
      <t>φ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+ φ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 xml:space="preserve"> - 4ψ = -A </t>
    </r>
    <r>
      <rPr>
        <sz val="11"/>
        <color theme="1"/>
        <rFont val="ＭＳ Ｐゴシック"/>
        <family val="2"/>
        <scheme val="minor"/>
      </rPr>
      <t>/ (3・α)</t>
    </r>
    <phoneticPr fontId="1"/>
  </si>
  <si>
    <t>H1</t>
    <phoneticPr fontId="1"/>
  </si>
  <si>
    <t>H2</t>
    <phoneticPr fontId="1"/>
  </si>
  <si>
    <t>Q</t>
    <phoneticPr fontId="1"/>
  </si>
  <si>
    <r>
      <t>C</t>
    </r>
    <r>
      <rPr>
        <vertAlign val="subscript"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2"/>
        <scheme val="minor"/>
      </rPr>
      <t xml:space="preserve"> = C</t>
    </r>
    <r>
      <rPr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2"/>
        <scheme val="minor"/>
      </rPr>
      <t xml:space="preserve"> = Q・H2</t>
    </r>
    <phoneticPr fontId="1"/>
  </si>
  <si>
    <t>A = 2Q・H1</t>
    <phoneticPr fontId="1"/>
  </si>
  <si>
    <t>kN</t>
    <phoneticPr fontId="1"/>
  </si>
  <si>
    <t>kN/m</t>
    <phoneticPr fontId="1"/>
  </si>
  <si>
    <t>kN・m</t>
    <phoneticPr fontId="1"/>
  </si>
  <si>
    <r>
      <t>= (M</t>
    </r>
    <r>
      <rPr>
        <vertAlign val="subscript"/>
        <sz val="11"/>
        <color theme="1"/>
        <rFont val="ＭＳ Ｐゴシック"/>
        <family val="3"/>
        <charset val="128"/>
        <scheme val="minor"/>
      </rPr>
      <t>CD</t>
    </r>
    <r>
      <rPr>
        <sz val="11"/>
        <color theme="1"/>
        <rFont val="ＭＳ Ｐゴシック"/>
        <family val="2"/>
        <scheme val="minor"/>
      </rPr>
      <t xml:space="preserve"> + M</t>
    </r>
    <r>
      <rPr>
        <vertAlign val="subscript"/>
        <sz val="11"/>
        <color theme="1"/>
        <rFont val="ＭＳ Ｐゴシック"/>
        <family val="3"/>
        <charset val="128"/>
        <scheme val="minor"/>
      </rPr>
      <t>DC</t>
    </r>
    <r>
      <rPr>
        <sz val="11"/>
        <color theme="1"/>
        <rFont val="ＭＳ Ｐゴシック"/>
        <family val="2"/>
        <scheme val="minor"/>
      </rPr>
      <t>) / H1</t>
    </r>
    <phoneticPr fontId="1"/>
  </si>
  <si>
    <r>
      <t>= -(M</t>
    </r>
    <r>
      <rPr>
        <vertAlign val="subscript"/>
        <sz val="11"/>
        <color theme="1"/>
        <rFont val="ＭＳ Ｐゴシック"/>
        <family val="3"/>
        <charset val="128"/>
        <scheme val="minor"/>
      </rPr>
      <t>AB</t>
    </r>
    <r>
      <rPr>
        <sz val="11"/>
        <color theme="1"/>
        <rFont val="ＭＳ Ｐゴシック"/>
        <family val="2"/>
        <scheme val="minor"/>
      </rPr>
      <t xml:space="preserve"> + M</t>
    </r>
    <r>
      <rPr>
        <vertAlign val="subscript"/>
        <sz val="11"/>
        <color theme="1"/>
        <rFont val="ＭＳ Ｐゴシック"/>
        <family val="3"/>
        <charset val="128"/>
        <scheme val="minor"/>
      </rPr>
      <t>BA</t>
    </r>
    <r>
      <rPr>
        <sz val="11"/>
        <color theme="1"/>
        <rFont val="ＭＳ Ｐゴシック"/>
        <family val="2"/>
        <scheme val="minor"/>
      </rPr>
      <t>) / H1</t>
    </r>
    <phoneticPr fontId="1"/>
  </si>
  <si>
    <r>
      <t>kN/m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</si>
  <si>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株式会社スタークス</t>
    <rPh sb="0" eb="4">
      <t>カブシキガイシャ</t>
    </rPh>
    <phoneticPr fontId="1"/>
  </si>
  <si>
    <t>http://www.starcs.co.jp</t>
    <phoneticPr fontId="1"/>
  </si>
  <si>
    <t>このブックのシートは保護されています。</t>
    <rPh sb="10" eb="12">
      <t>ホゴ</t>
    </rPh>
    <phoneticPr fontId="1"/>
  </si>
  <si>
    <t>yokomaku@starcs.co.jp</t>
    <phoneticPr fontId="1"/>
  </si>
  <si>
    <t>保護解除用のパスワードを希望される方は件名を</t>
    <rPh sb="0" eb="2">
      <t>ホゴ</t>
    </rPh>
    <rPh sb="2" eb="4">
      <t>カイジョ</t>
    </rPh>
    <rPh sb="4" eb="5">
      <t>ヨウ</t>
    </rPh>
    <rPh sb="12" eb="14">
      <t>キボウ</t>
    </rPh>
    <rPh sb="17" eb="18">
      <t>カタ</t>
    </rPh>
    <rPh sb="19" eb="21">
      <t>ケンメイ</t>
    </rPh>
    <phoneticPr fontId="1"/>
  </si>
  <si>
    <t>以下のメールアドレスまでご連絡下さい。</t>
    <rPh sb="0" eb="2">
      <t>イカ</t>
    </rPh>
    <rPh sb="13" eb="15">
      <t>レンラク</t>
    </rPh>
    <rPh sb="15" eb="16">
      <t>クダ</t>
    </rPh>
    <phoneticPr fontId="1"/>
  </si>
  <si>
    <t>「電協研P257計算例パスワード連絡希望」とし、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</si>
</sst>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0" xfId="0" quotePrefix="1"/>
    <xf numFmtId="0" fontId="4" fillId="0" borderId="0" xfId="1"/>
    <xf numFmtId="0" fontId="0" fillId="0" borderId="0" xfId="0" applyFill="1"/>
    <xf numFmtId="176" fontId="0" fillId="0" borderId="0" xfId="0" applyNumberFormat="1" applyFill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/>
    <xf numFmtId="0" fontId="4" fillId="0" borderId="0" xfId="1" applyBorder="1"/>
    <xf numFmtId="0" fontId="0" fillId="0" borderId="0" xfId="0" quotePrefix="1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4" xfId="0" applyBorder="1" applyAlignment="1"/>
    <xf numFmtId="0" fontId="0" fillId="0" borderId="4" xfId="0" quotePrefix="1" applyBorder="1" applyAlignment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5" fillId="0" borderId="0" xfId="0" applyFont="1"/>
    <xf numFmtId="0" fontId="0" fillId="2" borderId="0" xfId="0" applyFill="1" applyProtection="1">
      <protection locked="0"/>
    </xf>
    <xf numFmtId="176" fontId="0" fillId="2" borderId="0" xfId="0" applyNumberFormat="1" applyFill="1" applyProtection="1">
      <protection locked="0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188118</xdr:colOff>
      <xdr:row>40</xdr:row>
      <xdr:rowOff>161925</xdr:rowOff>
    </xdr:from>
    <xdr:to>
      <xdr:col>5</xdr:col>
      <xdr:colOff>466724</xdr:colOff>
      <xdr:row>44</xdr:row>
      <xdr:rowOff>9525</xdr:rowOff>
    </xdr:to>
    <xdr:sp macro="" textlink="">
      <xdr:nvSpPr>
        <xdr:cNvPr id="2" name="右中かっこ 1"/>
        <xdr:cNvSpPr/>
      </xdr:nvSpPr>
      <xdr:spPr>
        <a:xfrm>
          <a:off x="3617118" y="7400925"/>
          <a:ext cx="278606" cy="647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321469</xdr:colOff>
      <xdr:row>2</xdr:row>
      <xdr:rowOff>11905</xdr:rowOff>
    </xdr:from>
    <xdr:to>
      <xdr:col>6</xdr:col>
      <xdr:colOff>183584</xdr:colOff>
      <xdr:row>24</xdr:row>
      <xdr:rowOff>141551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75" t="5702" r="44365" b="15296"/>
        <a:stretch/>
      </xdr:blipFill>
      <xdr:spPr>
        <a:xfrm>
          <a:off x="321469" y="354805"/>
          <a:ext cx="4278540" cy="4024313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762000</xdr:colOff>
      <xdr:row>0</xdr:row>
      <xdr:rowOff>154782</xdr:rowOff>
    </xdr:from>
    <xdr:to>
      <xdr:col>9</xdr:col>
      <xdr:colOff>489273</xdr:colOff>
      <xdr:row>3</xdr:row>
      <xdr:rowOff>90147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688" y="154782"/>
          <a:ext cx="2703835" cy="435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17</xdr:row>
      <xdr:rowOff>84667</xdr:rowOff>
    </xdr:from>
    <xdr:to>
      <xdr:col>6</xdr:col>
      <xdr:colOff>581782</xdr:colOff>
      <xdr:row>40</xdr:row>
      <xdr:rowOff>119063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75" t="5702" r="44365" b="15296"/>
        <a:stretch/>
      </xdr:blipFill>
      <xdr:spPr>
        <a:xfrm>
          <a:off x="465667" y="3259667"/>
          <a:ext cx="4307115" cy="392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omaku@starcs.co.jp" TargetMode="External"/><Relationship Id="rId1" Type="http://schemas.openxmlformats.org/officeDocument/2006/relationships/hyperlink" Target="http://www.starcs.co.j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tabSelected="1" zoomScale="80" zoomScaleNormal="80" zoomScaleSheetLayoutView="90" workbookViewId="0">
      <selection activeCell="Q26" sqref="Q26"/>
    </sheetView>
  </sheetViews>
  <sheetFormatPr defaultRowHeight="13.5" x14ac:dyDescent="0.15"/>
  <cols>
    <col min="2" max="2" width="9" customWidth="1"/>
    <col min="4" max="4" width="9.125" bestFit="1" customWidth="1"/>
    <col min="5" max="5" width="11" bestFit="1" customWidth="1"/>
    <col min="6" max="6" width="10.875" customWidth="1"/>
    <col min="7" max="7" width="9.5" bestFit="1" customWidth="1"/>
    <col min="8" max="8" width="9.5" customWidth="1"/>
    <col min="10" max="10" width="9.125" bestFit="1" customWidth="1"/>
    <col min="15" max="15" width="9.5" bestFit="1" customWidth="1"/>
    <col min="16" max="16" width="10.75" bestFit="1" customWidth="1"/>
    <col min="17" max="17" width="9.5" bestFit="1" customWidth="1"/>
    <col min="18" max="18" width="13.875" bestFit="1" customWidth="1"/>
    <col min="19" max="19" width="9.5" bestFit="1" customWidth="1"/>
    <col min="20" max="22" width="13.875" bestFit="1" customWidth="1"/>
  </cols>
  <sheetData>
    <row r="2" spans="2:11" x14ac:dyDescent="0.15">
      <c r="B2" s="1"/>
      <c r="C2" s="1"/>
      <c r="D2" s="1"/>
      <c r="E2" s="1"/>
      <c r="F2" s="1"/>
      <c r="G2" s="1"/>
      <c r="K2" t="s">
        <v>71</v>
      </c>
    </row>
    <row r="3" spans="2:11" x14ac:dyDescent="0.15">
      <c r="B3" s="1"/>
      <c r="C3" s="1"/>
      <c r="D3" s="1"/>
      <c r="E3" s="1"/>
      <c r="F3" s="1"/>
      <c r="G3" s="1"/>
      <c r="K3" s="5" t="s">
        <v>72</v>
      </c>
    </row>
    <row r="4" spans="2:11" x14ac:dyDescent="0.15">
      <c r="B4" s="1"/>
      <c r="C4" s="1"/>
      <c r="D4" s="1"/>
      <c r="E4" s="1"/>
      <c r="F4" s="1"/>
      <c r="G4" s="1"/>
    </row>
    <row r="5" spans="2:11" x14ac:dyDescent="0.15">
      <c r="B5" s="1"/>
      <c r="C5" s="1"/>
      <c r="D5" s="1"/>
      <c r="E5" s="1"/>
      <c r="F5" s="1"/>
      <c r="G5" s="1"/>
      <c r="K5" s="26" t="s">
        <v>73</v>
      </c>
    </row>
    <row r="6" spans="2:11" x14ac:dyDescent="0.15">
      <c r="B6" s="1"/>
      <c r="C6" s="1"/>
      <c r="D6" s="1"/>
      <c r="E6" s="1"/>
      <c r="F6" s="1"/>
      <c r="G6" s="1"/>
      <c r="K6" s="26" t="s">
        <v>75</v>
      </c>
    </row>
    <row r="7" spans="2:11" x14ac:dyDescent="0.15">
      <c r="B7" s="1"/>
      <c r="C7" s="1"/>
      <c r="D7" s="1"/>
      <c r="E7" s="1"/>
      <c r="F7" s="1"/>
      <c r="G7" s="1"/>
      <c r="H7" t="s">
        <v>62</v>
      </c>
      <c r="I7" s="27">
        <v>1030</v>
      </c>
      <c r="J7" t="s">
        <v>65</v>
      </c>
      <c r="K7" s="26" t="s">
        <v>77</v>
      </c>
    </row>
    <row r="8" spans="2:11" x14ac:dyDescent="0.15">
      <c r="B8" s="1"/>
      <c r="C8" s="1"/>
      <c r="D8" s="1"/>
      <c r="E8" s="1"/>
      <c r="F8" s="1"/>
      <c r="G8" s="1"/>
      <c r="H8" t="s">
        <v>24</v>
      </c>
      <c r="I8" s="27">
        <v>76.8</v>
      </c>
      <c r="J8" t="s">
        <v>66</v>
      </c>
      <c r="K8" s="26" t="s">
        <v>76</v>
      </c>
    </row>
    <row r="9" spans="2:11" x14ac:dyDescent="0.15">
      <c r="B9" s="1"/>
      <c r="C9" s="1"/>
      <c r="D9" s="1"/>
      <c r="E9" s="1"/>
      <c r="F9" s="1"/>
      <c r="G9" s="1"/>
      <c r="H9" t="s">
        <v>60</v>
      </c>
      <c r="I9" s="27">
        <v>11.7</v>
      </c>
      <c r="J9" t="s">
        <v>25</v>
      </c>
      <c r="K9" s="5" t="s">
        <v>74</v>
      </c>
    </row>
    <row r="10" spans="2:11" x14ac:dyDescent="0.15">
      <c r="B10" s="1"/>
      <c r="C10" s="1"/>
      <c r="D10" s="1"/>
      <c r="E10" s="1"/>
      <c r="F10" s="1"/>
      <c r="G10" s="1"/>
      <c r="H10" t="s">
        <v>61</v>
      </c>
      <c r="I10" s="27">
        <v>1.4</v>
      </c>
      <c r="J10" t="s">
        <v>25</v>
      </c>
    </row>
    <row r="11" spans="2:11" x14ac:dyDescent="0.15">
      <c r="B11" s="1"/>
      <c r="C11" s="1"/>
      <c r="D11" s="1"/>
      <c r="E11" s="1"/>
      <c r="F11" s="1"/>
      <c r="G11" s="1"/>
      <c r="H11" t="s">
        <v>26</v>
      </c>
      <c r="I11" s="27">
        <v>16.829000000000001</v>
      </c>
      <c r="J11" t="s">
        <v>25</v>
      </c>
    </row>
    <row r="12" spans="2:11" ht="15.75" x14ac:dyDescent="0.15">
      <c r="B12" s="1"/>
      <c r="C12" s="1"/>
      <c r="D12" s="1"/>
      <c r="E12" s="1"/>
      <c r="F12" s="1"/>
      <c r="G12" s="1"/>
      <c r="H12" t="s">
        <v>1</v>
      </c>
      <c r="I12" s="27">
        <v>5.1219999999999999</v>
      </c>
      <c r="J12" s="8" t="s">
        <v>29</v>
      </c>
    </row>
    <row r="13" spans="2:11" ht="15.75" x14ac:dyDescent="0.15">
      <c r="B13" s="1"/>
      <c r="C13" s="1"/>
      <c r="D13" s="1"/>
      <c r="E13" s="1"/>
      <c r="F13" s="1"/>
      <c r="G13" s="1"/>
      <c r="H13" t="s">
        <v>2</v>
      </c>
      <c r="I13" s="28">
        <v>1.0669999999999999</v>
      </c>
      <c r="J13" s="8" t="s">
        <v>29</v>
      </c>
    </row>
    <row r="14" spans="2:11" x14ac:dyDescent="0.15">
      <c r="B14" s="1"/>
      <c r="C14" s="1"/>
      <c r="D14" s="1"/>
      <c r="E14" s="1"/>
      <c r="F14" s="1"/>
      <c r="G14" s="1"/>
      <c r="H14" t="s">
        <v>30</v>
      </c>
      <c r="I14">
        <f>I12/I9</f>
        <v>0.43777777777777782</v>
      </c>
    </row>
    <row r="15" spans="2:11" x14ac:dyDescent="0.15">
      <c r="B15" s="1"/>
      <c r="C15" s="1"/>
      <c r="D15" s="1"/>
      <c r="E15" s="1"/>
      <c r="F15" s="1"/>
      <c r="G15" s="1"/>
      <c r="H15" t="s">
        <v>31</v>
      </c>
      <c r="I15">
        <f>I13/I11</f>
        <v>6.3402460039218012E-2</v>
      </c>
    </row>
    <row r="16" spans="2:11" x14ac:dyDescent="0.15">
      <c r="B16" s="1"/>
      <c r="C16" s="1"/>
      <c r="D16" s="1"/>
      <c r="E16" s="1"/>
      <c r="F16" s="1"/>
      <c r="G16" s="1"/>
      <c r="H16" t="s">
        <v>32</v>
      </c>
      <c r="I16">
        <f>ROUND(K20*I14/I15,3)</f>
        <v>6.9050000000000002</v>
      </c>
    </row>
    <row r="17" spans="2:12" x14ac:dyDescent="0.15">
      <c r="B17" s="1"/>
      <c r="C17" s="1"/>
      <c r="D17" s="1"/>
      <c r="E17" s="1"/>
      <c r="F17" s="1"/>
      <c r="G17" s="1"/>
      <c r="J17" s="6"/>
    </row>
    <row r="18" spans="2:12" ht="15.75" x14ac:dyDescent="0.15">
      <c r="B18" s="1"/>
      <c r="C18" s="1"/>
      <c r="D18" s="1"/>
      <c r="E18" s="1"/>
      <c r="F18" s="1"/>
      <c r="G18" s="1"/>
      <c r="H18" t="s">
        <v>27</v>
      </c>
      <c r="J18" t="s">
        <v>46</v>
      </c>
      <c r="K18" s="27">
        <v>21000000</v>
      </c>
      <c r="L18" t="s">
        <v>70</v>
      </c>
    </row>
    <row r="19" spans="2:12" ht="15.75" x14ac:dyDescent="0.15">
      <c r="B19" s="1"/>
      <c r="C19" s="1"/>
      <c r="D19" s="1"/>
      <c r="E19" s="1"/>
      <c r="F19" s="1"/>
      <c r="G19" s="1"/>
      <c r="H19" t="s">
        <v>28</v>
      </c>
      <c r="J19" t="s">
        <v>47</v>
      </c>
      <c r="K19" s="27">
        <v>21000000</v>
      </c>
      <c r="L19" t="s">
        <v>70</v>
      </c>
    </row>
    <row r="20" spans="2:12" x14ac:dyDescent="0.15">
      <c r="B20" s="1"/>
      <c r="C20" s="1"/>
      <c r="D20" s="1"/>
      <c r="E20" s="1"/>
      <c r="F20" s="1"/>
      <c r="G20" s="1"/>
      <c r="J20" t="s">
        <v>48</v>
      </c>
      <c r="K20">
        <f>K18/K19</f>
        <v>1</v>
      </c>
    </row>
    <row r="21" spans="2:12" x14ac:dyDescent="0.15">
      <c r="B21" s="1"/>
      <c r="C21" s="1"/>
      <c r="D21" s="1"/>
      <c r="E21" s="1"/>
      <c r="F21" s="1"/>
      <c r="G21" s="1"/>
    </row>
    <row r="22" spans="2:12" x14ac:dyDescent="0.15">
      <c r="B22" s="1"/>
      <c r="C22" s="1"/>
      <c r="D22" s="1"/>
      <c r="E22" s="1"/>
      <c r="F22" s="1"/>
      <c r="G22" s="1"/>
    </row>
    <row r="23" spans="2:12" x14ac:dyDescent="0.15">
      <c r="B23" s="1"/>
      <c r="C23" s="1"/>
      <c r="D23" s="1"/>
      <c r="E23" s="1"/>
      <c r="F23" s="1"/>
      <c r="G23" s="1"/>
    </row>
    <row r="24" spans="2:12" x14ac:dyDescent="0.15">
      <c r="B24" s="1"/>
      <c r="C24" s="1"/>
      <c r="D24" s="1"/>
      <c r="E24" s="1"/>
      <c r="F24" s="1"/>
      <c r="G24" s="1"/>
    </row>
    <row r="25" spans="2:12" x14ac:dyDescent="0.15">
      <c r="B25" t="s">
        <v>4</v>
      </c>
      <c r="D25" s="1"/>
      <c r="E25" s="1"/>
      <c r="F25" s="1"/>
      <c r="G25" s="1"/>
    </row>
    <row r="26" spans="2:12" x14ac:dyDescent="0.15">
      <c r="B26" t="s">
        <v>3</v>
      </c>
      <c r="D26" s="1"/>
      <c r="E26" s="1"/>
      <c r="F26" s="1"/>
      <c r="G26" s="1"/>
    </row>
    <row r="27" spans="2:12" x14ac:dyDescent="0.15">
      <c r="B27" t="s">
        <v>5</v>
      </c>
    </row>
    <row r="30" spans="2:12" ht="16.5" x14ac:dyDescent="0.25">
      <c r="B30" t="s">
        <v>6</v>
      </c>
      <c r="C30" s="4" t="s">
        <v>51</v>
      </c>
      <c r="F30">
        <f>ROUND($I$16*($D$61-3*$D$63),3)</f>
        <v>-9175.9989999999998</v>
      </c>
      <c r="G30" t="s">
        <v>67</v>
      </c>
    </row>
    <row r="31" spans="2:12" ht="16.5" x14ac:dyDescent="0.25">
      <c r="B31" t="s">
        <v>7</v>
      </c>
      <c r="C31" s="4" t="s">
        <v>52</v>
      </c>
      <c r="F31">
        <f>ROUND($I$16*(2*$D$61-3*$D$63),3)</f>
        <v>-339.726</v>
      </c>
      <c r="G31" t="s">
        <v>67</v>
      </c>
    </row>
    <row r="32" spans="2:12" ht="16.5" x14ac:dyDescent="0.25">
      <c r="B32" t="s">
        <v>8</v>
      </c>
      <c r="C32" s="4" t="s">
        <v>53</v>
      </c>
      <c r="F32">
        <f>ROUND((2*$D$61+$D$62)-$F$37,3)</f>
        <v>1781.721</v>
      </c>
      <c r="G32" t="s">
        <v>67</v>
      </c>
    </row>
    <row r="33" spans="2:12" ht="16.5" x14ac:dyDescent="0.25">
      <c r="B33" t="s">
        <v>9</v>
      </c>
      <c r="C33" s="4" t="s">
        <v>10</v>
      </c>
      <c r="F33" s="19">
        <f>ROUND(($D$61+2*$D$62)+$F$38,3)</f>
        <v>5162.1000000000004</v>
      </c>
      <c r="G33" t="s">
        <v>67</v>
      </c>
    </row>
    <row r="34" spans="2:12" ht="16.5" x14ac:dyDescent="0.25">
      <c r="B34" t="s">
        <v>11</v>
      </c>
      <c r="C34" s="4" t="s">
        <v>56</v>
      </c>
      <c r="F34">
        <f>ROUND($I$16*(2*$D$62-3*$D$63),3)</f>
        <v>-3720.096</v>
      </c>
      <c r="G34" t="s">
        <v>67</v>
      </c>
    </row>
    <row r="35" spans="2:12" ht="16.5" x14ac:dyDescent="0.25">
      <c r="B35" t="s">
        <v>12</v>
      </c>
      <c r="C35" s="4" t="s">
        <v>57</v>
      </c>
      <c r="F35">
        <f>ROUND($I$16*($D$62-3*$D$63),3)</f>
        <v>-10866.183999999999</v>
      </c>
      <c r="G35" t="s">
        <v>67</v>
      </c>
    </row>
    <row r="37" spans="2:12" ht="17.25" x14ac:dyDescent="0.25">
      <c r="B37" t="s">
        <v>13</v>
      </c>
      <c r="C37" s="4" t="s">
        <v>15</v>
      </c>
      <c r="F37">
        <f>ROUND($I$8*$I$11^2/12,3)</f>
        <v>1812.578</v>
      </c>
      <c r="G37" t="s">
        <v>67</v>
      </c>
    </row>
    <row r="38" spans="2:12" ht="17.25" x14ac:dyDescent="0.25">
      <c r="B38" t="s">
        <v>14</v>
      </c>
      <c r="C38" s="4" t="s">
        <v>15</v>
      </c>
      <c r="F38">
        <f>ROUND($I$8*$I$11^2/12,3)</f>
        <v>1812.578</v>
      </c>
      <c r="G38" t="s">
        <v>67</v>
      </c>
    </row>
    <row r="41" spans="2:12" x14ac:dyDescent="0.15">
      <c r="B41" t="s">
        <v>0</v>
      </c>
    </row>
    <row r="42" spans="2:12" ht="16.5" x14ac:dyDescent="0.25">
      <c r="B42" t="s">
        <v>54</v>
      </c>
    </row>
    <row r="43" spans="2:12" ht="16.5" x14ac:dyDescent="0.25">
      <c r="B43" t="s">
        <v>55</v>
      </c>
      <c r="G43" t="s">
        <v>23</v>
      </c>
    </row>
    <row r="44" spans="2:12" ht="16.5" x14ac:dyDescent="0.25">
      <c r="B44" t="s">
        <v>59</v>
      </c>
    </row>
    <row r="46" spans="2:12" ht="16.5" x14ac:dyDescent="0.25">
      <c r="B46" s="15" t="s">
        <v>16</v>
      </c>
      <c r="C46" s="15" t="s">
        <v>21</v>
      </c>
      <c r="D46" s="15" t="s">
        <v>22</v>
      </c>
      <c r="E46" s="15" t="s">
        <v>17</v>
      </c>
      <c r="F46" s="22" t="s">
        <v>18</v>
      </c>
      <c r="G46" s="23"/>
      <c r="H46" s="17"/>
      <c r="I46" s="10"/>
    </row>
    <row r="47" spans="2:12" ht="16.5" x14ac:dyDescent="0.25">
      <c r="B47" s="15">
        <v>1</v>
      </c>
      <c r="C47" s="15" t="s">
        <v>19</v>
      </c>
      <c r="D47" s="15">
        <v>1</v>
      </c>
      <c r="E47" s="16" t="s">
        <v>20</v>
      </c>
      <c r="F47" s="24" t="s">
        <v>49</v>
      </c>
      <c r="G47" s="25"/>
      <c r="H47" s="18"/>
      <c r="I47" s="12"/>
      <c r="L47" s="5"/>
    </row>
    <row r="48" spans="2:12" ht="16.5" x14ac:dyDescent="0.25">
      <c r="B48" s="15">
        <v>2</v>
      </c>
      <c r="C48" s="15">
        <v>1</v>
      </c>
      <c r="D48" s="15" t="s">
        <v>19</v>
      </c>
      <c r="E48" s="16" t="s">
        <v>20</v>
      </c>
      <c r="F48" s="24" t="s">
        <v>50</v>
      </c>
      <c r="G48" s="25"/>
      <c r="H48" s="18"/>
      <c r="I48" s="12"/>
    </row>
    <row r="49" spans="2:13" x14ac:dyDescent="0.15">
      <c r="B49" s="15">
        <v>3</v>
      </c>
      <c r="C49" s="15">
        <v>1</v>
      </c>
      <c r="D49" s="15">
        <v>1</v>
      </c>
      <c r="E49" s="15">
        <v>-4</v>
      </c>
      <c r="F49" s="24" t="s">
        <v>58</v>
      </c>
      <c r="G49" s="25"/>
      <c r="H49" s="18"/>
      <c r="I49" s="12"/>
    </row>
    <row r="52" spans="2:13" ht="16.5" x14ac:dyDescent="0.25">
      <c r="B52" t="s">
        <v>63</v>
      </c>
      <c r="E52" s="19">
        <f>I7*I10</f>
        <v>1442</v>
      </c>
      <c r="F52" t="s">
        <v>67</v>
      </c>
    </row>
    <row r="53" spans="2:13" x14ac:dyDescent="0.15">
      <c r="B53" t="s">
        <v>64</v>
      </c>
      <c r="E53" s="19">
        <f>2*I7*I9</f>
        <v>24102</v>
      </c>
      <c r="F53" t="s">
        <v>67</v>
      </c>
    </row>
    <row r="55" spans="2:13" x14ac:dyDescent="0.15">
      <c r="I55" t="s">
        <v>33</v>
      </c>
    </row>
    <row r="56" spans="2:13" x14ac:dyDescent="0.15">
      <c r="C56" s="20">
        <f>ROUND(2*(1+$I$16),3)</f>
        <v>15.81</v>
      </c>
      <c r="D56" s="2">
        <v>1</v>
      </c>
      <c r="E56" s="2">
        <f>ROUND(-3*$I$16,3)</f>
        <v>-20.715</v>
      </c>
      <c r="G56" s="2">
        <f>F37+E52</f>
        <v>3254.578</v>
      </c>
      <c r="I56" s="2">
        <f t="array" ref="I56:K58">MINVERSE(C56:E58)</f>
        <v>0.11125031753103562</v>
      </c>
      <c r="J56" s="2">
        <v>4.372837289903022E-2</v>
      </c>
      <c r="K56" s="2">
        <v>-0.80259589306470347</v>
      </c>
      <c r="M56" s="2">
        <f t="array" ref="M56:M58">MMULT(I56:K58,G56:G58)</f>
        <v>1279.6923975175939</v>
      </c>
    </row>
    <row r="57" spans="2:13" x14ac:dyDescent="0.15">
      <c r="C57" s="2">
        <v>1</v>
      </c>
      <c r="D57" s="20">
        <f>ROUND(2*(1+$I$16),3)</f>
        <v>15.81</v>
      </c>
      <c r="E57" s="2">
        <f>ROUND(-3*$I$16,3)</f>
        <v>-20.715</v>
      </c>
      <c r="G57" s="2">
        <f>-F38+E52</f>
        <v>-370.57799999999997</v>
      </c>
      <c r="I57" s="2">
        <v>4.3728372899030227E-2</v>
      </c>
      <c r="J57" s="2">
        <v>0.11125031753103563</v>
      </c>
      <c r="K57" s="2">
        <v>-0.80259589306470358</v>
      </c>
      <c r="M57" s="2">
        <v>1034.914814803212</v>
      </c>
    </row>
    <row r="58" spans="2:13" x14ac:dyDescent="0.15">
      <c r="C58" s="2">
        <v>1</v>
      </c>
      <c r="D58" s="2">
        <v>1</v>
      </c>
      <c r="E58" s="2">
        <v>-4</v>
      </c>
      <c r="G58" s="2">
        <f>ROUND(-E53/(3*I16),3)</f>
        <v>-1163.5050000000001</v>
      </c>
      <c r="I58" s="2">
        <v>3.8744672607516462E-2</v>
      </c>
      <c r="J58" s="2">
        <v>3.8744672607516462E-2</v>
      </c>
      <c r="K58" s="2">
        <v>-0.65129794653235173</v>
      </c>
      <c r="M58" s="2">
        <v>869.52805308020152</v>
      </c>
    </row>
    <row r="61" spans="2:13" ht="16.5" x14ac:dyDescent="0.25">
      <c r="C61" s="15" t="s">
        <v>21</v>
      </c>
      <c r="D61" s="2">
        <f>ROUND(M56,3)</f>
        <v>1279.692</v>
      </c>
    </row>
    <row r="62" spans="2:13" ht="16.5" x14ac:dyDescent="0.25">
      <c r="C62" s="15" t="s">
        <v>22</v>
      </c>
      <c r="D62" s="2">
        <f>ROUND(M57,3)</f>
        <v>1034.915</v>
      </c>
    </row>
    <row r="63" spans="2:13" x14ac:dyDescent="0.15">
      <c r="C63" s="15" t="s">
        <v>17</v>
      </c>
      <c r="D63" s="2">
        <f>ROUND(M58,3)</f>
        <v>869.52800000000002</v>
      </c>
    </row>
  </sheetData>
  <sheetProtection algorithmName="SHA-512" hashValue="e4OKGrzz4yGJCNOifu/uAP6whbdeSxFCtD4GQojbAU5kcJ4fdkTzDpgEV5cJnfbYot6wfRSWw3VHlu+TU8AHQw==" saltValue="pxpZBnE7QAJpbeH8M/ugLg==" spinCount="100000" sheet="1" objects="1" scenarios="1"/>
  <mergeCells count="4">
    <mergeCell ref="F46:G46"/>
    <mergeCell ref="F47:G47"/>
    <mergeCell ref="F48:G48"/>
    <mergeCell ref="F49:G49"/>
  </mergeCells>
  <phoneticPr fontId="1"/>
  <hyperlinks>
    <hyperlink ref="K3" r:id="rId1"/>
    <hyperlink ref="K9" r:id="rId2"/>
  </hyperlinks>
  <pageMargins left="0.7" right="0.7" top="0.75" bottom="0.75" header="0.3" footer="0.3"/>
  <pageSetup paperSize="9" scale="5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90" zoomScaleNormal="90" workbookViewId="0">
      <selection activeCell="I17" sqref="I17"/>
    </sheetView>
  </sheetViews>
  <sheetFormatPr defaultRowHeight="13.5" x14ac:dyDescent="0.15"/>
  <cols>
    <col min="2" max="2" width="9" customWidth="1"/>
    <col min="6" max="6" width="9.875" bestFit="1" customWidth="1"/>
    <col min="7" max="7" width="9.5" bestFit="1" customWidth="1"/>
    <col min="12" max="12" width="12.125" bestFit="1" customWidth="1"/>
    <col min="15" max="15" width="9.5" bestFit="1" customWidth="1"/>
  </cols>
  <sheetData>
    <row r="1" spans="2:16" x14ac:dyDescent="0.15">
      <c r="B1" s="1"/>
      <c r="C1" s="1"/>
      <c r="D1" s="1"/>
      <c r="E1" s="1"/>
      <c r="F1" s="1"/>
      <c r="G1" s="1"/>
    </row>
    <row r="2" spans="2:16" x14ac:dyDescent="0.15">
      <c r="B2" t="s">
        <v>34</v>
      </c>
      <c r="C2" s="1"/>
      <c r="D2" s="1"/>
      <c r="E2" s="1"/>
      <c r="F2" s="1"/>
      <c r="G2" s="1"/>
    </row>
    <row r="3" spans="2:16" ht="16.5" x14ac:dyDescent="0.25">
      <c r="B3" t="s">
        <v>35</v>
      </c>
      <c r="C3" s="14" t="s">
        <v>36</v>
      </c>
      <c r="D3" s="1"/>
      <c r="E3" s="1"/>
      <c r="F3" s="1"/>
      <c r="G3" s="1"/>
      <c r="K3" t="s">
        <v>6</v>
      </c>
      <c r="L3" s="19">
        <f>'電協研P257計算例(1)'!F30</f>
        <v>-9175.9989999999998</v>
      </c>
      <c r="N3" t="s">
        <v>24</v>
      </c>
      <c r="O3" t="s">
        <v>26</v>
      </c>
      <c r="P3" t="s">
        <v>60</v>
      </c>
    </row>
    <row r="4" spans="2:16" ht="16.5" x14ac:dyDescent="0.25">
      <c r="B4" s="1" t="s">
        <v>37</v>
      </c>
      <c r="C4" s="1">
        <f>ROUND($N$4*$O$4/2-($L$5+$L$6)/$O$4,3)</f>
        <v>233.62299999999999</v>
      </c>
      <c r="D4" s="1" t="s">
        <v>65</v>
      </c>
      <c r="E4" s="1"/>
      <c r="F4" s="1"/>
      <c r="G4" s="1"/>
      <c r="K4" t="s">
        <v>7</v>
      </c>
      <c r="L4" s="19">
        <f>'電協研P257計算例(1)'!F31</f>
        <v>-339.726</v>
      </c>
      <c r="N4">
        <f>'電協研P257計算例(1)'!I8</f>
        <v>76.8</v>
      </c>
      <c r="O4">
        <f>'電協研P257計算例(1)'!I11</f>
        <v>16.829000000000001</v>
      </c>
      <c r="P4">
        <f>'電協研P257計算例(1)'!I9</f>
        <v>11.7</v>
      </c>
    </row>
    <row r="5" spans="2:16" ht="16.5" x14ac:dyDescent="0.25">
      <c r="B5" s="3" t="s">
        <v>38</v>
      </c>
      <c r="C5" s="1">
        <f>ROUND($N$4*$O$4/2+($L$5+$L$6)/$O$4,3)</f>
        <v>1058.8440000000001</v>
      </c>
      <c r="D5" s="1" t="s">
        <v>65</v>
      </c>
      <c r="E5" s="1"/>
      <c r="F5" s="1"/>
      <c r="G5" s="1"/>
      <c r="K5" t="s">
        <v>8</v>
      </c>
      <c r="L5" s="19">
        <f>'電協研P257計算例(1)'!F32</f>
        <v>1781.721</v>
      </c>
    </row>
    <row r="6" spans="2:16" ht="16.5" x14ac:dyDescent="0.25">
      <c r="J6" s="6"/>
      <c r="K6" t="s">
        <v>9</v>
      </c>
      <c r="L6" s="19">
        <f>'電協研P257計算例(1)'!F33</f>
        <v>5162.1000000000004</v>
      </c>
    </row>
    <row r="7" spans="2:16" ht="16.5" x14ac:dyDescent="0.25">
      <c r="B7" t="s">
        <v>39</v>
      </c>
      <c r="C7" s="4" t="s">
        <v>69</v>
      </c>
      <c r="F7" s="19">
        <f>ROUND(-(L3+L4)/P4,3)</f>
        <v>813.31</v>
      </c>
      <c r="G7" s="1" t="s">
        <v>65</v>
      </c>
      <c r="J7" s="7"/>
      <c r="K7" t="s">
        <v>11</v>
      </c>
      <c r="L7" s="19">
        <f>'電協研P257計算例(1)'!F34</f>
        <v>-3720.096</v>
      </c>
    </row>
    <row r="8" spans="2:16" ht="16.5" x14ac:dyDescent="0.25">
      <c r="B8" t="s">
        <v>40</v>
      </c>
      <c r="C8" s="4" t="s">
        <v>68</v>
      </c>
      <c r="F8" s="19">
        <f>ROUND((L7+L8)/P4,3)</f>
        <v>-1246.691</v>
      </c>
      <c r="G8" s="1" t="s">
        <v>65</v>
      </c>
      <c r="K8" t="s">
        <v>12</v>
      </c>
      <c r="L8" s="19">
        <f>'電協研P257計算例(1)'!F35</f>
        <v>-10866.183999999999</v>
      </c>
    </row>
    <row r="11" spans="2:16" x14ac:dyDescent="0.15">
      <c r="B11" t="s">
        <v>41</v>
      </c>
    </row>
    <row r="12" spans="2:16" ht="16.5" x14ac:dyDescent="0.25">
      <c r="B12" t="s">
        <v>42</v>
      </c>
      <c r="C12" s="14" t="s">
        <v>45</v>
      </c>
      <c r="D12" s="1"/>
    </row>
    <row r="13" spans="2:16" x14ac:dyDescent="0.15">
      <c r="B13" s="1" t="s">
        <v>44</v>
      </c>
      <c r="C13" s="21">
        <f>ROUND(-($L$5+$L$6)/$O$4,3)</f>
        <v>-412.61</v>
      </c>
      <c r="D13" s="1" t="s">
        <v>65</v>
      </c>
    </row>
    <row r="14" spans="2:16" x14ac:dyDescent="0.15">
      <c r="B14" s="3" t="s">
        <v>43</v>
      </c>
      <c r="C14" s="21">
        <f>ROUND(+($L$5+$L$6)/$O$4,3)</f>
        <v>412.61</v>
      </c>
      <c r="D14" s="1" t="s">
        <v>65</v>
      </c>
    </row>
    <row r="15" spans="2:16" x14ac:dyDescent="0.15">
      <c r="C15" s="4"/>
    </row>
    <row r="16" spans="2:16" x14ac:dyDescent="0.15">
      <c r="C16" s="4"/>
    </row>
    <row r="17" spans="1:15" x14ac:dyDescent="0.15">
      <c r="C17" s="4"/>
    </row>
    <row r="19" spans="1:15" x14ac:dyDescent="0.15">
      <c r="C19" s="4"/>
    </row>
    <row r="20" spans="1:15" x14ac:dyDescent="0.15">
      <c r="C20" s="4"/>
    </row>
    <row r="21" spans="1:15" x14ac:dyDescent="0.15">
      <c r="C21" s="4"/>
    </row>
    <row r="22" spans="1:15" x14ac:dyDescent="0.15">
      <c r="C22" s="4"/>
    </row>
    <row r="23" spans="1:15" x14ac:dyDescent="0.15">
      <c r="C23" s="4"/>
    </row>
    <row r="24" spans="1:15" x14ac:dyDescent="0.15">
      <c r="C24" s="4"/>
    </row>
    <row r="29" spans="1:1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15">
      <c r="A32" s="1"/>
      <c r="B32" s="9"/>
      <c r="C32" s="9"/>
      <c r="D32" s="9"/>
      <c r="E32" s="9"/>
      <c r="F32" s="10"/>
      <c r="G32" s="10"/>
      <c r="H32" s="10"/>
      <c r="I32" s="10"/>
      <c r="J32" s="1"/>
      <c r="K32" s="1"/>
      <c r="L32" s="1"/>
      <c r="M32" s="1"/>
      <c r="N32" s="1"/>
      <c r="O32" s="1"/>
    </row>
    <row r="33" spans="1:15" x14ac:dyDescent="0.15">
      <c r="A33" s="1"/>
      <c r="B33" s="9"/>
      <c r="C33" s="9"/>
      <c r="D33" s="9"/>
      <c r="E33" s="11"/>
      <c r="F33" s="12"/>
      <c r="G33" s="12"/>
      <c r="H33" s="12"/>
      <c r="I33" s="12"/>
      <c r="J33" s="1"/>
      <c r="K33" s="1"/>
      <c r="L33" s="13"/>
      <c r="M33" s="1"/>
      <c r="N33" s="1"/>
      <c r="O33" s="1"/>
    </row>
    <row r="34" spans="1:15" x14ac:dyDescent="0.15">
      <c r="A34" s="1"/>
      <c r="B34" s="9"/>
      <c r="C34" s="9"/>
      <c r="D34" s="9"/>
      <c r="E34" s="11"/>
      <c r="F34" s="12"/>
      <c r="G34" s="12"/>
      <c r="H34" s="12"/>
      <c r="I34" s="12"/>
      <c r="J34" s="1"/>
      <c r="K34" s="1"/>
      <c r="L34" s="1"/>
      <c r="M34" s="1"/>
      <c r="N34" s="1"/>
      <c r="O34" s="1"/>
    </row>
    <row r="35" spans="1:15" x14ac:dyDescent="0.15">
      <c r="A35" s="1"/>
      <c r="B35" s="9"/>
      <c r="C35" s="9"/>
      <c r="D35" s="9"/>
      <c r="E35" s="9"/>
      <c r="F35" s="12"/>
      <c r="G35" s="12"/>
      <c r="H35" s="12"/>
      <c r="I35" s="12"/>
      <c r="J35" s="1"/>
      <c r="K35" s="1"/>
      <c r="L35" s="1"/>
      <c r="M35" s="1"/>
      <c r="N35" s="1"/>
      <c r="O35" s="1"/>
    </row>
    <row r="36" spans="1:1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15">
      <c r="A47" s="1"/>
      <c r="B47" s="1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15">
      <c r="A48" s="1"/>
      <c r="B48" s="1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15">
      <c r="A49" s="1"/>
      <c r="B49" s="1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</sheetData>
  <sheetProtection algorithmName="SHA-512" hashValue="ZgtFSqWF7PLa/ShBAq02L4N6E6gpYv7gVNZzsQqPdYaKfNl5piI+aHlTjc/PDKKDSXNQWnGeRD50N62Zyqk7lw==" saltValue="d2aMLllHvPyOynta4PVHZA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電協研P257計算例(1)</vt:lpstr>
      <vt:lpstr>電協研P257計算例(2)</vt:lpstr>
      <vt:lpstr>'電協研P257計算例(2)'!Print_Area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2017-12-04T01:56:08Z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b0e42f9e-495c-46ad-9fd2-84f91808c94c</vt:lpwstr>
  </property>
</Properties>
</file>